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6E0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<sst xmlns="http://schemas.openxmlformats.org/spreadsheetml/2006/main" count="107" uniqueCount="101">
  <si>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</si>
  <si>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</si>
  <si>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</si>
  <si>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</si>
  <si>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</si>
  <si>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</si>
  <si>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</si>
  <si>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</si>
  <si>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</si>
  <si>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</si>
  <si>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</si>
  <si>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</si>
  <si>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</si>
  <si>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</si>
  <si>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</si>
  <si>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</si>
  <si>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</si>
  <si>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</si>
  <si>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</si>
  <si>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</si>
  <si>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</si>
  <si>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</si>
  <si>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</si>
  <si>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</si>
  <si>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</si>
  <si>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</si>
  <si>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</si>
  <si>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</si>
  <si>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</si>
  <si>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</si>
  <si>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</si>
  <si>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</si>
  <si>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</si>
  <si>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</si>
  <si>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</si>
  <si>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</si>
  <si>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</si>
  <si>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</si>
  <si>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</si>
  <si>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</si>
  <si>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</si>
  <si>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</si>
  <si>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</si>
  <si>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</si>
  <si>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</si>
  <si>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</si>
  <si>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</si>
  <si>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</si>
  <si>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</si>
  <si>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</si>
  <si>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</si>
  <si>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</si>
  <si>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</si>
  <si>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</si>
  <si>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</si>
  <si>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</si>
  <si>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</si>
  <si>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</si>
  <si>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</si>
  <si>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</si>
  <si>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</si>
  <si>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</si>
  <si>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</si>
  <si>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</si>
  <si>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</si>
  <si>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</si>
  <si>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</si>
  <si>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</si>
  <si>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</si>
  <si>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</si>
  <si>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</si>
  <si>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</si>
  <si>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</si>
  <si>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</si>
  <si>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</si>
  <si>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</si>
  <si>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</si>
  <si>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</si>
  <si>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</si>
  <si>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</si>
  <si>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</si>
  <si>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</si>
  <si>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</si>
  <si>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</si>
  <si>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</si>
  <si>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</si>
  <si>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</si>
  <si>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</si>
  <si>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</si>
  <si>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</si>
  <si>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</si>
  <si>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</si>
  <si>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</si>
  <si>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</si>
  <si>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</si>
  <si>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</si>
  <si>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</si>
  <si>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</si>
  <si>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t>Binder Solids (recommended target 28.8-30.8)</t>
  </si>
  <si>
    <r>
      <t>Matrixcote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Prime Concentrate</t>
    </r>
  </si>
  <si>
    <t>Issue Date: 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</si>
</sst>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9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54" customWidth="1"/>
    <col min="2" max="2" width="5.7109375" style="26" customWidth="1"/>
    <col min="3" max="3" width="62" style="26" customWidth="1"/>
    <col min="4" max="4" width="10.7109375" style="26" customWidth="1"/>
    <col min="5" max="5" width="13.28515625" style="26" customWidth="1"/>
    <col min="6" max="6" width="5.7109375" style="30" customWidth="1"/>
    <col min="7" max="7" width="5.7109375" style="26" customWidth="1"/>
    <col min="8" max="8" width="34.7109375" style="26" customWidth="1"/>
    <col min="9" max="12" width="10.7109375" style="26" customWidth="1"/>
    <col min="13" max="16384" width="0" style="26" hidden="1"/>
  </cols>
  <sheetData>
    <row r="1" spans="1:12" ht="45.75" customHeight="1" x14ac:dyDescent="0.2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6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6.25" customHeight="1" x14ac:dyDescent="0.2">
      <c r="A3" s="70" t="s">
        <v>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 x14ac:dyDescent="0.2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9.5" customHeight="1" x14ac:dyDescent="0.2">
      <c r="A5" s="69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9.5" customHeight="1" x14ac:dyDescent="0.2">
      <c r="A6" s="27"/>
      <c r="B6" s="28"/>
      <c r="C6" s="28"/>
      <c r="D6" s="28"/>
      <c r="E6" s="28"/>
      <c r="F6" s="6"/>
      <c r="G6" s="28"/>
      <c r="H6" s="28"/>
      <c r="I6" s="27"/>
      <c r="J6" s="28"/>
      <c r="K6" s="28"/>
      <c r="L6" s="28"/>
    </row>
    <row r="7" spans="1:12" ht="19.5" customHeight="1" x14ac:dyDescent="0.2">
      <c r="A7" s="27"/>
      <c r="B7" s="28"/>
      <c r="C7" s="28"/>
      <c r="D7" s="28"/>
      <c r="E7" s="28"/>
      <c r="F7" s="6"/>
      <c r="G7" s="28"/>
      <c r="H7" s="28"/>
      <c r="I7" s="27"/>
      <c r="J7" s="28"/>
      <c r="K7" s="28"/>
      <c r="L7" s="28"/>
    </row>
    <row r="8" spans="1:12" ht="19.5" hidden="1" customHeight="1" x14ac:dyDescent="0.2">
      <c r="A8" s="27"/>
      <c r="B8" s="28"/>
      <c r="C8" s="6" t="s">
        <v>90</v>
      </c>
      <c r="D8" s="28"/>
      <c r="E8" s="28"/>
      <c r="F8" s="6"/>
      <c r="G8" s="28"/>
      <c r="H8" s="28"/>
      <c r="I8" s="27"/>
      <c r="J8" s="28"/>
      <c r="K8" s="28"/>
      <c r="L8" s="28"/>
    </row>
    <row r="9" spans="1:12" ht="19.5" hidden="1" customHeight="1" x14ac:dyDescent="0.2">
      <c r="A9" s="27"/>
      <c r="B9" s="28"/>
      <c r="C9" s="6" t="s">
        <v>81</v>
      </c>
      <c r="D9" s="28"/>
      <c r="E9" s="28"/>
      <c r="F9" s="6"/>
      <c r="G9" s="28"/>
      <c r="H9" s="28"/>
      <c r="I9" s="27"/>
      <c r="J9" s="28"/>
      <c r="K9" s="28"/>
      <c r="L9" s="28"/>
    </row>
    <row r="10" spans="1:12" ht="19.5" customHeight="1" x14ac:dyDescent="0.2">
      <c r="A10" s="27" t="s">
        <v>0</v>
      </c>
      <c r="B10" s="29" t="s">
        <v>17</v>
      </c>
      <c r="C10" s="29"/>
      <c r="D10" s="28"/>
      <c r="E10" s="28"/>
      <c r="F10" s="27" t="s">
        <v>14</v>
      </c>
      <c r="G10" s="15" t="s">
        <v>92</v>
      </c>
      <c r="H10" s="6"/>
      <c r="I10" s="27"/>
      <c r="J10" s="28"/>
      <c r="K10" s="28"/>
      <c r="L10" s="28"/>
    </row>
    <row r="11" spans="1:12" s="30" customFormat="1" x14ac:dyDescent="0.2">
      <c r="B11" s="31" t="s">
        <v>18</v>
      </c>
      <c r="C11" s="56" t="s">
        <v>90</v>
      </c>
      <c r="D11" s="6"/>
      <c r="E11" s="6"/>
      <c r="G11" s="33" t="s">
        <v>56</v>
      </c>
      <c r="H11" s="33" t="s">
        <v>96</v>
      </c>
      <c r="I11" s="12">
        <v>155</v>
      </c>
      <c r="J11" s="6"/>
      <c r="K11" s="6"/>
      <c r="L11" s="6"/>
    </row>
    <row r="12" spans="1:12" s="30" customFormat="1" x14ac:dyDescent="0.2">
      <c r="A12" s="27"/>
      <c r="B12" s="31" t="s">
        <v>19</v>
      </c>
      <c r="C12" s="32" t="str">
        <f>IF(C11="Cylindrical Tank", "Tank Diameter (cm)", "")</f>
        <v>Tank Diameter (cm)</v>
      </c>
      <c r="D12" s="3">
        <v>25.4</v>
      </c>
      <c r="E12" s="6"/>
      <c r="F12" s="28"/>
      <c r="G12" s="33" t="s">
        <v>57</v>
      </c>
      <c r="H12" s="33" t="s">
        <v>97</v>
      </c>
      <c r="I12" s="12">
        <v>314.61</v>
      </c>
      <c r="J12" s="6"/>
      <c r="K12" s="6"/>
      <c r="L12" s="8"/>
    </row>
    <row r="13" spans="1:12" s="30" customFormat="1" x14ac:dyDescent="0.2">
      <c r="A13" s="27"/>
      <c r="B13" s="31" t="s">
        <v>20</v>
      </c>
      <c r="C13" s="32" t="str">
        <f>IF(C11="Cylindrical Tank", "Slurry Depth (cm)", "cm from Top of Tank")</f>
        <v>Slurry Depth (cm)</v>
      </c>
      <c r="D13" s="4">
        <v>19.75</v>
      </c>
      <c r="E13" s="6"/>
      <c r="F13" s="28"/>
      <c r="G13" s="6" t="s">
        <v>58</v>
      </c>
      <c r="H13" s="6" t="s">
        <v>68</v>
      </c>
      <c r="I13" s="9">
        <f>+(I12-I11)/100</f>
        <v>1.5961000000000001</v>
      </c>
      <c r="J13" s="6"/>
      <c r="K13" s="6"/>
      <c r="L13" s="8"/>
    </row>
    <row r="14" spans="1:12" s="30" customFormat="1" x14ac:dyDescent="0.2">
      <c r="A14" s="27"/>
      <c r="B14" s="34" t="s">
        <v>80</v>
      </c>
      <c r="C14" s="6" t="s">
        <v>24</v>
      </c>
      <c r="D14" s="55">
        <f>IF(C11="Cylindrical Tank", (POWER(D12/2,2)*D13* 3.14)/1000)+IF(C11="Tear Drop Tank (300L)", (0.0278*D13*D13-6.323*D13+341.43))</f>
        <v>10.002399349999999</v>
      </c>
      <c r="E14" s="35"/>
      <c r="F14" s="27" t="s">
        <v>15</v>
      </c>
      <c r="G14" s="15" t="s">
        <v>93</v>
      </c>
      <c r="H14" s="6"/>
      <c r="J14" s="6"/>
      <c r="K14" s="6"/>
      <c r="L14" s="8"/>
    </row>
    <row r="15" spans="1:12" s="30" customFormat="1" x14ac:dyDescent="0.2">
      <c r="A15" s="27" t="s">
        <v>1</v>
      </c>
      <c r="B15" s="15" t="s">
        <v>21</v>
      </c>
      <c r="C15" s="6"/>
      <c r="D15" s="9"/>
      <c r="E15" s="36"/>
      <c r="G15" s="33" t="s">
        <v>59</v>
      </c>
      <c r="H15" s="33" t="s">
        <v>70</v>
      </c>
      <c r="I15" s="7">
        <v>0.44</v>
      </c>
      <c r="J15" s="8"/>
      <c r="K15" s="6"/>
      <c r="L15" s="9"/>
    </row>
    <row r="16" spans="1:12" s="30" customFormat="1" x14ac:dyDescent="0.2">
      <c r="A16" s="27"/>
      <c r="B16" s="37" t="s">
        <v>22</v>
      </c>
      <c r="C16" s="17" t="s">
        <v>98</v>
      </c>
      <c r="D16" s="14">
        <v>29.8</v>
      </c>
      <c r="E16" s="8"/>
      <c r="G16" s="33" t="s">
        <v>60</v>
      </c>
      <c r="H16" s="33" t="s">
        <v>71</v>
      </c>
      <c r="I16" s="7">
        <v>10.17</v>
      </c>
      <c r="J16" s="6"/>
      <c r="K16" s="6"/>
      <c r="L16" s="6"/>
    </row>
    <row r="17" spans="1:12" s="30" customFormat="1" x14ac:dyDescent="0.2">
      <c r="A17" s="27"/>
      <c r="B17" s="37" t="s">
        <v>23</v>
      </c>
      <c r="C17" s="37" t="s">
        <v>9</v>
      </c>
      <c r="D17" s="5">
        <v>72</v>
      </c>
      <c r="E17" s="8"/>
      <c r="F17" s="38"/>
      <c r="G17" s="33" t="s">
        <v>61</v>
      </c>
      <c r="H17" s="33" t="s">
        <v>72</v>
      </c>
      <c r="I17" s="12">
        <v>7.5</v>
      </c>
      <c r="J17" s="6"/>
      <c r="K17" s="6"/>
      <c r="L17" s="6"/>
    </row>
    <row r="18" spans="1:12" s="30" customFormat="1" x14ac:dyDescent="0.2">
      <c r="A18" s="27" t="s">
        <v>25</v>
      </c>
      <c r="B18" s="15" t="s">
        <v>26</v>
      </c>
      <c r="C18" s="6"/>
      <c r="D18" s="9" t="s">
        <v>10</v>
      </c>
      <c r="E18" s="35"/>
      <c r="F18" s="39"/>
      <c r="G18" s="6" t="s">
        <v>86</v>
      </c>
      <c r="H18" s="6" t="s">
        <v>66</v>
      </c>
      <c r="I18" s="9">
        <f>100-((($I$16-$I$17)/($I$16-$I$15))*100)</f>
        <v>72.559095580678317</v>
      </c>
      <c r="J18" s="8"/>
      <c r="K18" s="6"/>
      <c r="L18" s="8"/>
    </row>
    <row r="19" spans="1:12" s="30" customFormat="1" x14ac:dyDescent="0.2">
      <c r="A19" s="27"/>
      <c r="B19" s="40" t="s">
        <v>27</v>
      </c>
      <c r="C19" s="41" t="s">
        <v>87</v>
      </c>
      <c r="D19" s="11">
        <f>I13</f>
        <v>1.5961000000000001</v>
      </c>
      <c r="E19" s="42"/>
      <c r="F19" s="43" t="s">
        <v>16</v>
      </c>
      <c r="G19" s="15" t="s">
        <v>67</v>
      </c>
      <c r="H19" s="6"/>
      <c r="J19" s="8"/>
      <c r="K19" s="6"/>
      <c r="L19" s="8"/>
    </row>
    <row r="20" spans="1:12" s="30" customFormat="1" x14ac:dyDescent="0.2">
      <c r="A20" s="27"/>
      <c r="B20" s="40" t="s">
        <v>28</v>
      </c>
      <c r="C20" s="41" t="s">
        <v>88</v>
      </c>
      <c r="D20" s="11">
        <f>I18</f>
        <v>72.559095580678317</v>
      </c>
      <c r="E20" s="42"/>
      <c r="G20" s="33" t="s">
        <v>62</v>
      </c>
      <c r="H20" s="33" t="s">
        <v>94</v>
      </c>
      <c r="I20" s="7">
        <v>9.4499999999999993</v>
      </c>
      <c r="J20" s="6"/>
      <c r="K20" s="6"/>
      <c r="L20" s="1"/>
    </row>
    <row r="21" spans="1:12" s="30" customFormat="1" x14ac:dyDescent="0.2">
      <c r="A21" s="27"/>
      <c r="B21" s="40" t="s">
        <v>29</v>
      </c>
      <c r="C21" s="41" t="s">
        <v>32</v>
      </c>
      <c r="D21" s="10">
        <f>I23</f>
        <v>1.17</v>
      </c>
      <c r="E21" s="42"/>
      <c r="F21" s="44"/>
      <c r="G21" s="33" t="s">
        <v>63</v>
      </c>
      <c r="H21" s="33" t="s">
        <v>95</v>
      </c>
      <c r="I21" s="12">
        <v>21.15</v>
      </c>
      <c r="J21" s="6"/>
      <c r="K21" s="6"/>
      <c r="L21" s="6"/>
    </row>
    <row r="22" spans="1:12" s="30" customFormat="1" x14ac:dyDescent="0.2">
      <c r="A22" s="27"/>
      <c r="B22" s="34" t="s">
        <v>30</v>
      </c>
      <c r="C22" s="6" t="s">
        <v>8</v>
      </c>
      <c r="D22" s="9">
        <f>155.55*D21 - 153.66</f>
        <v>28.333500000000015</v>
      </c>
      <c r="E22" s="35"/>
      <c r="F22" s="39"/>
      <c r="G22" s="33" t="s">
        <v>64</v>
      </c>
      <c r="H22" s="18" t="s">
        <v>76</v>
      </c>
      <c r="I22" s="13">
        <v>10</v>
      </c>
      <c r="J22" s="6"/>
      <c r="K22" s="6"/>
      <c r="L22" s="6"/>
    </row>
    <row r="23" spans="1:12" s="30" customFormat="1" x14ac:dyDescent="0.2">
      <c r="A23" s="27" t="s">
        <v>2</v>
      </c>
      <c r="B23" s="15" t="s">
        <v>31</v>
      </c>
      <c r="C23" s="6"/>
      <c r="D23" s="9"/>
      <c r="E23" s="35"/>
      <c r="F23" s="39"/>
      <c r="G23" s="6" t="s">
        <v>65</v>
      </c>
      <c r="H23" s="6" t="s">
        <v>69</v>
      </c>
      <c r="I23" s="2">
        <f>+($I$21-$I$20)/I22</f>
        <v>1.17</v>
      </c>
      <c r="J23" s="8"/>
      <c r="K23" s="6"/>
      <c r="L23" s="8"/>
    </row>
    <row r="24" spans="1:12" s="30" customFormat="1" hidden="1" x14ac:dyDescent="0.2">
      <c r="A24" s="27"/>
      <c r="B24" s="6"/>
      <c r="C24" s="34" t="s">
        <v>33</v>
      </c>
      <c r="D24" s="9">
        <f>D19*D14</f>
        <v>15.964829602535</v>
      </c>
      <c r="E24" s="35"/>
      <c r="F24" s="39"/>
      <c r="G24" s="6"/>
      <c r="H24" s="6"/>
      <c r="I24" s="8"/>
      <c r="J24" s="8"/>
      <c r="K24" s="6"/>
      <c r="L24" s="8"/>
    </row>
    <row r="25" spans="1:12" s="30" customFormat="1" hidden="1" x14ac:dyDescent="0.2">
      <c r="A25" s="27"/>
      <c r="B25" s="6"/>
      <c r="C25" s="34" t="s">
        <v>34</v>
      </c>
      <c r="D25" s="9">
        <f>100-D20</f>
        <v>27.440904419321683</v>
      </c>
      <c r="E25" s="35"/>
      <c r="F25" s="39"/>
      <c r="G25" s="6"/>
      <c r="H25" s="6"/>
      <c r="I25" s="6"/>
      <c r="J25" s="6"/>
      <c r="K25" s="6"/>
      <c r="L25" s="2"/>
    </row>
    <row r="26" spans="1:12" s="30" customFormat="1" hidden="1" x14ac:dyDescent="0.2">
      <c r="A26" s="27"/>
      <c r="B26" s="6"/>
      <c r="C26" s="34" t="s">
        <v>35</v>
      </c>
      <c r="D26" s="9">
        <f>(D25/(100-D22))*100</f>
        <v>38.28972311933984</v>
      </c>
      <c r="E26" s="35"/>
      <c r="F26" s="39"/>
      <c r="G26" s="6"/>
      <c r="H26" s="6"/>
      <c r="I26" s="6"/>
      <c r="J26" s="6"/>
      <c r="K26" s="6"/>
      <c r="L26" s="6"/>
    </row>
    <row r="27" spans="1:12" s="30" customFormat="1" hidden="1" x14ac:dyDescent="0.2">
      <c r="A27" s="27"/>
      <c r="B27" s="6"/>
      <c r="C27" s="34" t="s">
        <v>36</v>
      </c>
      <c r="D27" s="9">
        <f>(D24*D26)/100</f>
        <v>6.1128890512850544</v>
      </c>
      <c r="E27" s="35"/>
      <c r="F27" s="39"/>
      <c r="G27" s="6"/>
      <c r="H27" s="6"/>
      <c r="I27" s="45"/>
      <c r="J27" s="45"/>
      <c r="K27" s="45"/>
      <c r="L27" s="45"/>
    </row>
    <row r="28" spans="1:12" s="30" customFormat="1" hidden="1" x14ac:dyDescent="0.2">
      <c r="A28" s="27"/>
      <c r="B28" s="6"/>
      <c r="C28" s="34" t="s">
        <v>35</v>
      </c>
      <c r="D28" s="9">
        <f>(D26/1)</f>
        <v>38.28972311933984</v>
      </c>
      <c r="E28" s="35"/>
      <c r="F28" s="39"/>
      <c r="G28" s="6"/>
      <c r="H28" s="6"/>
      <c r="I28" s="35"/>
      <c r="J28" s="35"/>
      <c r="K28" s="35"/>
      <c r="L28" s="35"/>
    </row>
    <row r="29" spans="1:12" s="30" customFormat="1" hidden="1" x14ac:dyDescent="0.2">
      <c r="A29" s="27"/>
      <c r="B29" s="6"/>
      <c r="C29" s="34" t="s">
        <v>37</v>
      </c>
      <c r="D29" s="9">
        <f>(D24*D28)/100</f>
        <v>6.1128890512850544</v>
      </c>
      <c r="E29" s="35"/>
      <c r="F29" s="39"/>
      <c r="G29" s="6"/>
      <c r="H29" s="6"/>
      <c r="I29" s="45"/>
      <c r="J29" s="46"/>
      <c r="K29" s="46"/>
      <c r="L29" s="46"/>
    </row>
    <row r="30" spans="1:12" s="30" customFormat="1" x14ac:dyDescent="0.2">
      <c r="A30" s="27"/>
      <c r="B30" s="6" t="s">
        <v>38</v>
      </c>
      <c r="C30" s="34" t="s">
        <v>9</v>
      </c>
      <c r="D30" s="9">
        <f>100-D28</f>
        <v>61.71027688066016</v>
      </c>
      <c r="E30" s="35"/>
      <c r="F30" s="39"/>
      <c r="J30" s="46"/>
      <c r="K30" s="46"/>
      <c r="L30" s="46"/>
    </row>
    <row r="31" spans="1:12" s="30" customFormat="1" x14ac:dyDescent="0.2">
      <c r="A31" s="27" t="s">
        <v>3</v>
      </c>
      <c r="B31" s="15" t="s">
        <v>39</v>
      </c>
      <c r="C31" s="6"/>
      <c r="D31" s="9"/>
      <c r="E31" s="35"/>
      <c r="F31" s="39"/>
      <c r="G31" s="63" t="s">
        <v>5</v>
      </c>
      <c r="H31" s="64"/>
      <c r="I31" s="57" t="s">
        <v>6</v>
      </c>
      <c r="J31" s="58"/>
      <c r="K31" s="59" t="s">
        <v>7</v>
      </c>
      <c r="L31" s="47"/>
    </row>
    <row r="32" spans="1:12" s="30" customFormat="1" ht="17.25" thickBot="1" x14ac:dyDescent="0.25">
      <c r="A32" s="27"/>
      <c r="B32" s="34" t="s">
        <v>40</v>
      </c>
      <c r="C32" s="6" t="s">
        <v>41</v>
      </c>
      <c r="D32" s="9">
        <f>D22-D16</f>
        <v>-1.4664999999999857</v>
      </c>
      <c r="E32" s="35"/>
      <c r="F32" s="35"/>
      <c r="G32" s="65"/>
      <c r="H32" s="66"/>
      <c r="I32" s="19" t="s">
        <v>77</v>
      </c>
      <c r="J32" s="19" t="s">
        <v>78</v>
      </c>
      <c r="K32" s="60"/>
      <c r="L32" s="47"/>
    </row>
    <row r="33" spans="1:12" s="30" customFormat="1" ht="17.25" customHeight="1" thickBot="1" x14ac:dyDescent="0.25">
      <c r="A33" s="27"/>
      <c r="B33" s="34" t="s">
        <v>42</v>
      </c>
      <c r="C33" s="6" t="s">
        <v>43</v>
      </c>
      <c r="D33" s="48">
        <f>IF(D32&gt;1,(D32*D27)/D16,0)</f>
        <v>0</v>
      </c>
      <c r="E33" s="35" t="str">
        <f>IF(D32&lt;-1, "Evaporate", 0)</f>
        <v>Evaporate</v>
      </c>
      <c r="F33" s="35"/>
      <c r="G33" s="57" t="s">
        <v>8</v>
      </c>
      <c r="H33" s="58"/>
      <c r="I33" s="20">
        <f>D16-1</f>
        <v>28.8</v>
      </c>
      <c r="J33" s="20">
        <f>D16+1</f>
        <v>30.8</v>
      </c>
      <c r="K33" s="20">
        <f>D22</f>
        <v>28.333500000000015</v>
      </c>
      <c r="L33" s="49"/>
    </row>
    <row r="34" spans="1:12" s="30" customFormat="1" hidden="1" x14ac:dyDescent="0.2">
      <c r="A34" s="27"/>
      <c r="B34" s="34"/>
      <c r="C34" s="6" t="s">
        <v>45</v>
      </c>
      <c r="D34" s="9">
        <f>D24+D33</f>
        <v>15.964829602535</v>
      </c>
      <c r="E34" s="35"/>
      <c r="F34" s="35"/>
      <c r="G34" s="50"/>
      <c r="H34" s="50"/>
      <c r="I34" s="50"/>
      <c r="J34" s="50"/>
      <c r="K34" s="50"/>
      <c r="L34" s="49"/>
    </row>
    <row r="35" spans="1:12" s="30" customFormat="1" hidden="1" x14ac:dyDescent="0.2">
      <c r="A35" s="27"/>
      <c r="B35" s="6"/>
      <c r="C35" s="34" t="s">
        <v>46</v>
      </c>
      <c r="D35" s="9">
        <f>D29+D33</f>
        <v>6.1128890512850544</v>
      </c>
      <c r="E35" s="35"/>
      <c r="F35" s="35"/>
      <c r="G35" s="21"/>
      <c r="H35" s="21"/>
      <c r="I35" s="19"/>
      <c r="J35" s="19"/>
      <c r="K35" s="19"/>
      <c r="L35" s="47"/>
    </row>
    <row r="36" spans="1:12" s="30" customFormat="1" hidden="1" x14ac:dyDescent="0.2">
      <c r="A36" s="27"/>
      <c r="B36" s="6"/>
      <c r="C36" s="34" t="s">
        <v>47</v>
      </c>
      <c r="D36" s="9">
        <f>(D35/D34)*100</f>
        <v>38.28972311933984</v>
      </c>
      <c r="E36" s="35"/>
      <c r="F36" s="35"/>
      <c r="G36" s="21"/>
      <c r="H36" s="21"/>
      <c r="I36" s="19"/>
      <c r="J36" s="19"/>
      <c r="K36" s="19"/>
      <c r="L36" s="47"/>
    </row>
    <row r="37" spans="1:12" s="30" customFormat="1" x14ac:dyDescent="0.2">
      <c r="A37" s="27"/>
      <c r="B37" s="34" t="s">
        <v>44</v>
      </c>
      <c r="C37" s="6" t="s">
        <v>79</v>
      </c>
      <c r="D37" s="9">
        <f>100-D36</f>
        <v>61.71027688066016</v>
      </c>
      <c r="E37" s="35"/>
      <c r="F37" s="35"/>
      <c r="G37" s="57" t="s">
        <v>9</v>
      </c>
      <c r="H37" s="58"/>
      <c r="I37" s="20">
        <f>D17-1</f>
        <v>71</v>
      </c>
      <c r="J37" s="20">
        <f>D17+1</f>
        <v>73</v>
      </c>
      <c r="K37" s="20">
        <f>D30</f>
        <v>61.71027688066016</v>
      </c>
      <c r="L37" s="47"/>
    </row>
    <row r="38" spans="1:12" s="30" customFormat="1" x14ac:dyDescent="0.2">
      <c r="A38" s="27" t="s">
        <v>4</v>
      </c>
      <c r="B38" s="15" t="s">
        <v>48</v>
      </c>
      <c r="C38" s="6"/>
      <c r="D38" s="9"/>
      <c r="E38" s="6"/>
      <c r="F38" s="6"/>
      <c r="L38" s="51"/>
    </row>
    <row r="39" spans="1:12" s="30" customFormat="1" ht="17.25" thickBot="1" x14ac:dyDescent="0.25">
      <c r="A39" s="27"/>
      <c r="B39" s="34" t="s">
        <v>89</v>
      </c>
      <c r="C39" s="6" t="s">
        <v>50</v>
      </c>
      <c r="D39" s="9">
        <f>D37/D17</f>
        <v>0.85708717889805774</v>
      </c>
      <c r="E39" s="6"/>
      <c r="F39" s="6"/>
      <c r="G39" s="6"/>
      <c r="H39" s="6"/>
      <c r="I39" s="6"/>
      <c r="J39" s="6"/>
      <c r="K39" s="6"/>
      <c r="L39" s="6"/>
    </row>
    <row r="40" spans="1:12" s="30" customFormat="1" ht="17.25" thickBot="1" x14ac:dyDescent="0.25">
      <c r="A40" s="27"/>
      <c r="B40" s="34" t="s">
        <v>49</v>
      </c>
      <c r="C40" s="6" t="s">
        <v>51</v>
      </c>
      <c r="D40" s="48">
        <f>IF(D36&lt;(100-D17)-1,(D39-1)*D34,0)</f>
        <v>0</v>
      </c>
      <c r="E40" s="6"/>
      <c r="F40" s="22" t="s">
        <v>73</v>
      </c>
      <c r="G40" s="16"/>
      <c r="H40" s="52"/>
      <c r="I40" s="52"/>
      <c r="J40" s="52"/>
      <c r="K40" s="52"/>
      <c r="L40" s="52"/>
    </row>
    <row r="41" spans="1:12" s="30" customFormat="1" x14ac:dyDescent="0.2">
      <c r="A41" s="27" t="s">
        <v>11</v>
      </c>
      <c r="B41" s="15" t="s">
        <v>52</v>
      </c>
      <c r="C41" s="6"/>
      <c r="D41" s="9"/>
      <c r="E41" s="6"/>
      <c r="F41" s="6" t="s">
        <v>82</v>
      </c>
      <c r="G41" s="16"/>
      <c r="H41" s="15"/>
      <c r="I41" s="23"/>
      <c r="J41" s="23"/>
      <c r="K41" s="23"/>
      <c r="L41" s="23"/>
    </row>
    <row r="42" spans="1:12" s="61" customFormat="1" ht="17.25" thickBot="1" x14ac:dyDescent="0.25">
      <c r="A42" s="27"/>
      <c r="B42" s="34" t="s">
        <v>53</v>
      </c>
      <c r="C42" s="6" t="s">
        <v>50</v>
      </c>
      <c r="D42" s="9">
        <f>D36/(100-D17)</f>
        <v>1.3674901114049942</v>
      </c>
      <c r="E42" s="6"/>
      <c r="F42" s="61" t="s">
        <v>91</v>
      </c>
    </row>
    <row r="43" spans="1:12" s="61" customFormat="1" ht="17.25" customHeight="1" thickBot="1" x14ac:dyDescent="0.25">
      <c r="A43" s="27"/>
      <c r="B43" s="34" t="s">
        <v>54</v>
      </c>
      <c r="C43" s="6" t="s">
        <v>55</v>
      </c>
      <c r="D43" s="48">
        <f>IF(D37&lt;D17-1,(D42-1)*D34,0)</f>
        <v>5.8669170091973362</v>
      </c>
      <c r="E43" s="6"/>
    </row>
    <row r="44" spans="1:12" s="30" customFormat="1" x14ac:dyDescent="0.2">
      <c r="A44" s="27"/>
      <c r="B44" s="6"/>
      <c r="C44" s="6"/>
      <c r="D44" s="6"/>
      <c r="E44" s="6"/>
      <c r="F44" s="6" t="s">
        <v>83</v>
      </c>
      <c r="G44" s="53"/>
      <c r="H44" s="53"/>
      <c r="I44" s="53"/>
      <c r="J44" s="53"/>
      <c r="K44" s="53"/>
      <c r="L44" s="53"/>
    </row>
    <row r="45" spans="1:12" s="30" customFormat="1" ht="16.5" customHeight="1" x14ac:dyDescent="0.2">
      <c r="A45" s="27"/>
      <c r="B45" s="6"/>
      <c r="C45" s="6"/>
      <c r="D45" s="6"/>
      <c r="E45" s="6"/>
      <c r="F45" s="62" t="s">
        <v>85</v>
      </c>
      <c r="G45" s="62"/>
      <c r="H45" s="62"/>
      <c r="I45" s="62"/>
      <c r="J45" s="62"/>
      <c r="K45" s="62"/>
      <c r="L45" s="62"/>
    </row>
    <row r="46" spans="1:12" s="30" customFormat="1" x14ac:dyDescent="0.2">
      <c r="A46" s="27"/>
      <c r="B46" s="6"/>
      <c r="C46" s="6"/>
      <c r="D46" s="6"/>
      <c r="E46" s="6"/>
      <c r="F46" s="62"/>
      <c r="G46" s="62"/>
      <c r="H46" s="62"/>
      <c r="I46" s="62"/>
      <c r="J46" s="62"/>
      <c r="K46" s="62"/>
      <c r="L46" s="62"/>
    </row>
    <row r="47" spans="1:12" s="30" customFormat="1" x14ac:dyDescent="0.2">
      <c r="A47" s="27"/>
      <c r="B47" s="6"/>
      <c r="C47" s="6"/>
      <c r="D47" s="6"/>
      <c r="E47" s="6"/>
      <c r="F47" s="51" t="s">
        <v>84</v>
      </c>
      <c r="G47" s="6"/>
      <c r="H47" s="29"/>
      <c r="I47" s="6"/>
      <c r="J47" s="6"/>
      <c r="K47" s="6"/>
      <c r="L47" s="6"/>
    </row>
    <row r="48" spans="1:12" s="30" customFormat="1" x14ac:dyDescent="0.2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30" customFormat="1" ht="18" x14ac:dyDescent="0.2">
      <c r="A49" s="24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5" t="s">
        <v>74</v>
      </c>
    </row>
  </sheetData>
  <sheetProtection password="DA71" sheet="1" objects="1" scenarios="1" selectLockedCells="1"/>
  <mergeCells count="12">
    <mergeCell ref="A1:L1"/>
    <mergeCell ref="A2:L2"/>
    <mergeCell ref="A4:L4"/>
    <mergeCell ref="A5:L5"/>
    <mergeCell ref="A3:L3"/>
    <mergeCell ref="G33:H33"/>
    <mergeCell ref="I31:J31"/>
    <mergeCell ref="K31:K32"/>
    <mergeCell ref="F42:XFD43"/>
    <mergeCell ref="F45:L46"/>
    <mergeCell ref="G37:H37"/>
    <mergeCell ref="G31:H32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2016-04-20T20:13:04Z</dcterms:modified>
</cp:coreProperties>
</file>